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Sheet1!$A$1:$O$85</definedName>
  </definedNames>
  <calcPr calcId="145621"/>
</workbook>
</file>

<file path=xl/calcChain.xml><?xml version="1.0" encoding="utf-8"?>
<calcChain xmlns="http://schemas.openxmlformats.org/spreadsheetml/2006/main">
  <c r="M82" i="1" l="1"/>
  <c r="L61" i="1"/>
  <c r="M72" i="1"/>
  <c r="M71" i="1"/>
  <c r="F72" i="1"/>
  <c r="F71" i="1"/>
  <c r="K61" i="1"/>
  <c r="E61" i="1"/>
  <c r="D61" i="1"/>
  <c r="L38" i="1"/>
  <c r="K38" i="1"/>
  <c r="L37" i="1"/>
  <c r="E38" i="1"/>
  <c r="E37" i="1"/>
  <c r="D38" i="1"/>
  <c r="K37" i="1"/>
  <c r="D37" i="1"/>
  <c r="M25" i="1"/>
  <c r="M24" i="1"/>
  <c r="M17" i="1"/>
  <c r="F25" i="1"/>
  <c r="F24" i="1"/>
  <c r="F17" i="1"/>
  <c r="F16" i="1"/>
  <c r="M13" i="1"/>
  <c r="F13" i="1"/>
  <c r="L54" i="1" l="1"/>
  <c r="L53" i="1"/>
  <c r="L52" i="1"/>
  <c r="L51" i="1"/>
  <c r="L65" i="1"/>
  <c r="K65" i="1"/>
  <c r="L60" i="1"/>
  <c r="L59" i="1"/>
  <c r="L58" i="1"/>
  <c r="L57" i="1"/>
  <c r="L56" i="1"/>
  <c r="K56" i="1"/>
  <c r="L55" i="1"/>
  <c r="K55" i="1"/>
  <c r="E65" i="1"/>
  <c r="D65" i="1"/>
  <c r="K60" i="1"/>
  <c r="E60" i="1"/>
  <c r="D60" i="1"/>
  <c r="K59" i="1"/>
  <c r="E59" i="1"/>
  <c r="D59" i="1"/>
  <c r="K58" i="1"/>
  <c r="E58" i="1"/>
  <c r="D58" i="1"/>
  <c r="K57" i="1"/>
  <c r="E57" i="1"/>
  <c r="D57" i="1"/>
  <c r="E56" i="1"/>
  <c r="D56" i="1"/>
  <c r="E55" i="1"/>
  <c r="D55" i="1"/>
  <c r="K54" i="1"/>
  <c r="E54" i="1"/>
  <c r="D54" i="1"/>
  <c r="K53" i="1"/>
  <c r="E53" i="1"/>
  <c r="D53" i="1"/>
  <c r="K52" i="1"/>
  <c r="E52" i="1"/>
  <c r="D52" i="1"/>
  <c r="K51" i="1"/>
  <c r="E51" i="1"/>
  <c r="D51" i="1"/>
  <c r="L36" i="1"/>
  <c r="K36" i="1"/>
  <c r="E36" i="1"/>
  <c r="D36" i="1"/>
  <c r="L35" i="1"/>
  <c r="K35" i="1"/>
  <c r="E35" i="1"/>
  <c r="D35" i="1"/>
  <c r="F26" i="1" l="1"/>
  <c r="O72" i="1" l="1"/>
  <c r="L64" i="1" l="1"/>
  <c r="L63" i="1"/>
  <c r="L62" i="1"/>
  <c r="L50" i="1"/>
  <c r="L49" i="1"/>
  <c r="L48" i="1"/>
  <c r="L47" i="1"/>
  <c r="L46" i="1"/>
  <c r="L45" i="1"/>
  <c r="K64" i="1"/>
  <c r="K63" i="1"/>
  <c r="K62" i="1"/>
  <c r="K50" i="1"/>
  <c r="K48" i="1"/>
  <c r="K47" i="1"/>
  <c r="K46" i="1"/>
  <c r="K45" i="1"/>
  <c r="E64" i="1"/>
  <c r="D64" i="1"/>
  <c r="E63" i="1"/>
  <c r="D63" i="1"/>
  <c r="E62" i="1"/>
  <c r="D62" i="1"/>
  <c r="E50" i="1"/>
  <c r="D50" i="1"/>
  <c r="E49" i="1"/>
  <c r="E48" i="1"/>
  <c r="D48" i="1"/>
  <c r="E47" i="1"/>
  <c r="D47" i="1"/>
  <c r="E46" i="1"/>
  <c r="D46" i="1"/>
  <c r="E45" i="1"/>
  <c r="D45" i="1"/>
  <c r="M26" i="1"/>
  <c r="M18" i="1"/>
  <c r="F18" i="1"/>
  <c r="M14" i="1"/>
  <c r="M37" i="1" s="1"/>
  <c r="F14" i="1"/>
  <c r="F37" i="1" s="1"/>
  <c r="O13" i="1"/>
  <c r="Q37" i="1" l="1"/>
  <c r="O37" i="1"/>
  <c r="F55" i="1"/>
  <c r="F36" i="1"/>
  <c r="M55" i="1"/>
  <c r="M36" i="1"/>
  <c r="M58" i="1"/>
  <c r="M60" i="1"/>
  <c r="M59" i="1"/>
  <c r="F59" i="1"/>
  <c r="F58" i="1"/>
  <c r="F60" i="1"/>
  <c r="M61" i="1"/>
  <c r="F61" i="1"/>
  <c r="E40" i="1"/>
  <c r="E67" i="1"/>
  <c r="D67" i="1"/>
  <c r="F21" i="1"/>
  <c r="F22" i="1" s="1"/>
  <c r="F23" i="1" s="1"/>
  <c r="F27" i="1" s="1"/>
  <c r="D40" i="1"/>
  <c r="K40" i="1"/>
  <c r="K67" i="1"/>
  <c r="M21" i="1"/>
  <c r="M22" i="1" s="1"/>
  <c r="M23" i="1" s="1"/>
  <c r="M27" i="1" s="1"/>
  <c r="M47" i="1"/>
  <c r="M46" i="1"/>
  <c r="M53" i="1"/>
  <c r="M65" i="1"/>
  <c r="M62" i="1"/>
  <c r="M38" i="1"/>
  <c r="F47" i="1"/>
  <c r="F50" i="1"/>
  <c r="M48" i="1"/>
  <c r="M56" i="1"/>
  <c r="M63" i="1"/>
  <c r="M54" i="1"/>
  <c r="O71" i="1"/>
  <c r="F54" i="1"/>
  <c r="M34" i="1"/>
  <c r="M50" i="1"/>
  <c r="F35" i="1"/>
  <c r="M35" i="1"/>
  <c r="M45" i="1"/>
  <c r="M51" i="1"/>
  <c r="M57" i="1"/>
  <c r="M49" i="1"/>
  <c r="M52" i="1"/>
  <c r="M64" i="1"/>
  <c r="L40" i="1"/>
  <c r="L67" i="1"/>
  <c r="F34" i="1"/>
  <c r="F51" i="1"/>
  <c r="F56" i="1"/>
  <c r="F46" i="1"/>
  <c r="F48" i="1"/>
  <c r="F52" i="1"/>
  <c r="F62" i="1"/>
  <c r="F38" i="1"/>
  <c r="F45" i="1"/>
  <c r="F49" i="1"/>
  <c r="F53" i="1"/>
  <c r="F57" i="1"/>
  <c r="F64" i="1"/>
  <c r="F63" i="1"/>
  <c r="F65" i="1"/>
  <c r="Q36" i="1" l="1"/>
  <c r="O36" i="1"/>
  <c r="Q55" i="1"/>
  <c r="O55" i="1"/>
  <c r="O59" i="1"/>
  <c r="Q59" i="1"/>
  <c r="O60" i="1"/>
  <c r="Q60" i="1"/>
  <c r="O58" i="1"/>
  <c r="Q58" i="1"/>
  <c r="E69" i="1"/>
  <c r="O61" i="1"/>
  <c r="Q61" i="1"/>
  <c r="O53" i="1"/>
  <c r="Q46" i="1"/>
  <c r="K69" i="1"/>
  <c r="Q65" i="1"/>
  <c r="D69" i="1"/>
  <c r="Q62" i="1"/>
  <c r="M40" i="1"/>
  <c r="O38" i="1"/>
  <c r="Q47" i="1"/>
  <c r="M67" i="1"/>
  <c r="O47" i="1"/>
  <c r="O46" i="1"/>
  <c r="O51" i="1"/>
  <c r="Q51" i="1"/>
  <c r="Q34" i="1"/>
  <c r="O34" i="1"/>
  <c r="Q45" i="1"/>
  <c r="O45" i="1"/>
  <c r="Q38" i="1"/>
  <c r="O54" i="1"/>
  <c r="Q54" i="1"/>
  <c r="Q53" i="1"/>
  <c r="O48" i="1"/>
  <c r="Q48" i="1"/>
  <c r="O62" i="1"/>
  <c r="F67" i="1"/>
  <c r="O64" i="1"/>
  <c r="Q64" i="1"/>
  <c r="Q57" i="1"/>
  <c r="O57" i="1"/>
  <c r="Q35" i="1"/>
  <c r="O35" i="1"/>
  <c r="O50" i="1"/>
  <c r="Q50" i="1"/>
  <c r="O63" i="1"/>
  <c r="Q63" i="1"/>
  <c r="O49" i="1"/>
  <c r="Q49" i="1"/>
  <c r="O65" i="1"/>
  <c r="O52" i="1"/>
  <c r="Q52" i="1"/>
  <c r="Q56" i="1"/>
  <c r="O56" i="1"/>
  <c r="L69" i="1"/>
  <c r="F40" i="1"/>
  <c r="M81" i="1" l="1"/>
  <c r="M83" i="1"/>
  <c r="M69" i="1"/>
  <c r="M74" i="1" s="1"/>
  <c r="O67" i="1"/>
  <c r="F69" i="1"/>
  <c r="F74" i="1" s="1"/>
  <c r="O40" i="1"/>
  <c r="M85" i="1" l="1"/>
  <c r="O69" i="1"/>
  <c r="O74" i="1"/>
  <c r="M77" i="1"/>
  <c r="N81" i="1" l="1"/>
  <c r="O81" i="1" s="1"/>
  <c r="N82" i="1"/>
  <c r="O82" i="1" s="1"/>
  <c r="N83" i="1"/>
  <c r="O83" i="1" s="1"/>
  <c r="N85" i="1" l="1"/>
  <c r="O85" i="1"/>
</calcChain>
</file>

<file path=xl/sharedStrings.xml><?xml version="1.0" encoding="utf-8"?>
<sst xmlns="http://schemas.openxmlformats.org/spreadsheetml/2006/main" count="115" uniqueCount="69">
  <si>
    <t xml:space="preserve">Ottawa County </t>
  </si>
  <si>
    <t>Property Tax Comparison Tax Year 2020 to Tax Year 2021</t>
  </si>
  <si>
    <t>Parcel Address:</t>
  </si>
  <si>
    <t>Parcel Number:</t>
  </si>
  <si>
    <t>2020 Collected</t>
  </si>
  <si>
    <t>in 2021</t>
  </si>
  <si>
    <t>in 2022</t>
  </si>
  <si>
    <t>Inc. %</t>
  </si>
  <si>
    <t>Appraised Value:</t>
  </si>
  <si>
    <t>Taxable Value (35%)</t>
  </si>
  <si>
    <t>Gross Tax Rate</t>
  </si>
  <si>
    <t>Reduction Factor</t>
  </si>
  <si>
    <t>Effective Tax Rate</t>
  </si>
  <si>
    <t>Gross Taxes</t>
  </si>
  <si>
    <t>Subtotal</t>
  </si>
  <si>
    <t>Non-Business Credit (Rollback)</t>
  </si>
  <si>
    <t>Owner Occupancy Credit</t>
  </si>
  <si>
    <t>Homestead Reduction</t>
  </si>
  <si>
    <t>Full Year Taxes</t>
  </si>
  <si>
    <t>Detail:</t>
  </si>
  <si>
    <t>Inside Millage:</t>
  </si>
  <si>
    <t>Ottawa County Gen Fund</t>
  </si>
  <si>
    <t>Gross Rate</t>
  </si>
  <si>
    <t>Effective Rate</t>
  </si>
  <si>
    <t>Taxes Generated</t>
  </si>
  <si>
    <t>Inside Millage Totals</t>
  </si>
  <si>
    <t>Outside Millage:</t>
  </si>
  <si>
    <t>Ottawa County 2000 MRDD</t>
  </si>
  <si>
    <t>Ottawa County 2003 MRDD</t>
  </si>
  <si>
    <t>Ottawa County 2004 Senior Citizen</t>
  </si>
  <si>
    <t>Ottawa County 2009 Nursing Home</t>
  </si>
  <si>
    <t>Ottawa County 2015 Senior Citizen</t>
  </si>
  <si>
    <t>Ottawa County 2020 Park District</t>
  </si>
  <si>
    <t>Mental Health Dist 2007 Current Exp</t>
  </si>
  <si>
    <t>Mental Health Dist 2010 Current Exp</t>
  </si>
  <si>
    <t>Outside Millage Totals</t>
  </si>
  <si>
    <t>Overall Totals</t>
  </si>
  <si>
    <t>Less: Rollback</t>
  </si>
  <si>
    <t>Total Tax Bill</t>
  </si>
  <si>
    <t>Tax Year 2020 - Collected 2021</t>
  </si>
  <si>
    <t>Tax Year 2021 - Collected 2022</t>
  </si>
  <si>
    <t>Increase Tax Year 2021 over Tax Year 2020</t>
  </si>
  <si>
    <t>Breakdown of Gross/Net Increase:</t>
  </si>
  <si>
    <t>Gross</t>
  </si>
  <si>
    <t>Net</t>
  </si>
  <si>
    <t>Due to Valuation Increase</t>
  </si>
  <si>
    <t>Due to shifts in value within taxing district</t>
  </si>
  <si>
    <t>Total</t>
  </si>
  <si>
    <t>Mental Health Dist 2015 Current Exp</t>
  </si>
  <si>
    <t>Less: Owner Occupancy</t>
  </si>
  <si>
    <t>Due to School District falling below 20 Mill floor</t>
  </si>
  <si>
    <t>BCS LSD Gen Fund</t>
  </si>
  <si>
    <t>BCS LSD Perm Imp</t>
  </si>
  <si>
    <t>BCS LSD 1976 Current Exp</t>
  </si>
  <si>
    <t>BCS LSD 1979 Perm Imp</t>
  </si>
  <si>
    <t>BCS LSD 1991 Current Exp</t>
  </si>
  <si>
    <t>BCS LSD 2000 Current Exp</t>
  </si>
  <si>
    <t>BCS LSD 2018 Emergency ($1.4235M)</t>
  </si>
  <si>
    <t>BCS LSD 2019 Emergency ($1,552,266)</t>
  </si>
  <si>
    <t>Penta Cty JVS 1976 Current Exp</t>
  </si>
  <si>
    <t>Penta Cty JVS 1981 Current Exp</t>
  </si>
  <si>
    <t>Penta Cty JVS 2003 Perm Imp</t>
  </si>
  <si>
    <t>OH Public Library 2014 Current Exp</t>
  </si>
  <si>
    <t>Carroll Twp</t>
  </si>
  <si>
    <t>Carroll Twp Gen Fund</t>
  </si>
  <si>
    <t>Carroll Twp Road &amp; Bridge</t>
  </si>
  <si>
    <t>Carroll Twp 2018 Police</t>
  </si>
  <si>
    <t>Property Tax Comparison 2020 to 2021 - BCS - Carroll Twp</t>
  </si>
  <si>
    <t>2021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</si>
</sst>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#,##0.000000"/>
    <numFmt numFmtId="166" formatCode="0.000000_);\(0.0000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9" fontId="0" fillId="0" borderId="0" xfId="0" applyNumberFormat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39" fontId="0" fillId="0" borderId="1" xfId="0" applyNumberFormat="1" applyBorder="1"/>
    <xf numFmtId="0" fontId="0" fillId="0" borderId="0" xfId="0" quotePrefix="1"/>
    <xf numFmtId="39" fontId="0" fillId="0" borderId="0" xfId="0" applyNumberFormat="1" applyBorder="1"/>
    <xf numFmtId="166" fontId="0" fillId="0" borderId="0" xfId="0" applyNumberFormat="1"/>
    <xf numFmtId="0" fontId="0" fillId="2" borderId="0" xfId="0" applyFill="1"/>
    <xf numFmtId="39" fontId="0" fillId="2" borderId="0" xfId="0" applyNumberFormat="1" applyFill="1"/>
    <xf numFmtId="0" fontId="0" fillId="2" borderId="1" xfId="0" applyFill="1" applyBorder="1" applyAlignment="1">
      <alignment horizontal="center"/>
    </xf>
    <xf numFmtId="10" fontId="0" fillId="0" borderId="1" xfId="0" applyNumberFormat="1" applyBorder="1"/>
    <xf numFmtId="39" fontId="0" fillId="2" borderId="1" xfId="0" applyNumberFormat="1" applyFill="1" applyBorder="1"/>
    <xf numFmtId="0" fontId="0" fillId="0" borderId="0" xfId="0" applyFill="1"/>
    <xf numFmtId="166" fontId="0" fillId="0" borderId="0" xfId="0" applyNumberFormat="1" applyFill="1"/>
    <xf numFmtId="39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5"/>
  <sheetViews>
    <sheetView tabSelected="1" topLeftCell="A55" zoomScaleNormal="100" workbookViewId="0">
      <selection activeCell="H72" sqref="H72"/>
    </sheetView>
  </sheetViews>
  <sheetFormatPr defaultRowHeight="15" x14ac:dyDescent="0.25"/>
  <cols>
    <col min="1" max="1" width="15.7109375" customWidth="1"/>
    <col min="4" max="6" width="15.7109375" customWidth="1"/>
    <col min="8" max="8" width="15.7109375" customWidth="1"/>
    <col min="11" max="13" width="15.7109375" customWidth="1"/>
  </cols>
  <sheetData>
    <row r="2" spans="1:15" x14ac:dyDescent="0.25">
      <c r="A2" t="s">
        <v>0</v>
      </c>
      <c r="I2" t="s">
        <v>67</v>
      </c>
    </row>
    <row r="3" spans="1:15" x14ac:dyDescent="0.25">
      <c r="A3" t="s">
        <v>1</v>
      </c>
    </row>
    <row r="4" spans="1:15" x14ac:dyDescent="0.25">
      <c r="A4" s="1">
        <v>44573</v>
      </c>
    </row>
    <row r="5" spans="1:15" x14ac:dyDescent="0.25">
      <c r="A5" s="1"/>
    </row>
    <row r="7" spans="1:15" x14ac:dyDescent="0.25">
      <c r="A7" t="s">
        <v>2</v>
      </c>
      <c r="F7" t="s">
        <v>63</v>
      </c>
    </row>
    <row r="8" spans="1:15" x14ac:dyDescent="0.25">
      <c r="A8" t="s">
        <v>3</v>
      </c>
      <c r="D8" s="10"/>
      <c r="E8" s="10"/>
      <c r="F8" s="10"/>
    </row>
    <row r="9" spans="1:15" x14ac:dyDescent="0.25">
      <c r="D9" s="10"/>
      <c r="E9" s="10"/>
      <c r="F9" s="10"/>
    </row>
    <row r="11" spans="1:15" x14ac:dyDescent="0.25">
      <c r="E11" s="2"/>
      <c r="F11" s="2" t="s">
        <v>4</v>
      </c>
      <c r="M11" s="3" t="s">
        <v>68</v>
      </c>
    </row>
    <row r="12" spans="1:15" x14ac:dyDescent="0.25">
      <c r="E12" s="2"/>
      <c r="F12" s="4" t="s">
        <v>5</v>
      </c>
      <c r="M12" s="4" t="s">
        <v>6</v>
      </c>
      <c r="O12" s="4" t="s">
        <v>7</v>
      </c>
    </row>
    <row r="13" spans="1:15" x14ac:dyDescent="0.25">
      <c r="A13" t="s">
        <v>8</v>
      </c>
      <c r="E13" s="5"/>
      <c r="F13" s="5">
        <f>219260</f>
        <v>219260</v>
      </c>
      <c r="M13" s="5">
        <f>243610</f>
        <v>243610</v>
      </c>
      <c r="O13" s="6">
        <f>(M13-F13)/F13</f>
        <v>0.111055368056189</v>
      </c>
    </row>
    <row r="14" spans="1:15" x14ac:dyDescent="0.25">
      <c r="A14" t="s">
        <v>9</v>
      </c>
      <c r="E14" s="5"/>
      <c r="F14" s="5">
        <f>F13*0.35</f>
        <v>76741</v>
      </c>
      <c r="M14" s="5">
        <f>M13*0.35</f>
        <v>85263.5</v>
      </c>
    </row>
    <row r="16" spans="1:15" x14ac:dyDescent="0.25">
      <c r="A16" t="s">
        <v>10</v>
      </c>
      <c r="E16" s="7"/>
      <c r="F16" s="7">
        <f>60.28</f>
        <v>60.28</v>
      </c>
      <c r="M16" s="7">
        <v>59.98</v>
      </c>
    </row>
    <row r="17" spans="1:13" x14ac:dyDescent="0.25">
      <c r="A17" t="s">
        <v>11</v>
      </c>
      <c r="E17" s="8"/>
      <c r="F17" s="8">
        <f>0.262586</f>
        <v>0.26258599999999999</v>
      </c>
      <c r="M17" s="8">
        <f>0.279615</f>
        <v>0.279615</v>
      </c>
    </row>
    <row r="18" spans="1:13" x14ac:dyDescent="0.25">
      <c r="A18" t="s">
        <v>12</v>
      </c>
      <c r="F18" s="7">
        <f>F16*(1-F17)</f>
        <v>44.451315919999999</v>
      </c>
      <c r="M18" s="7">
        <f>M16*(1-M17)</f>
        <v>43.208692300000003</v>
      </c>
    </row>
    <row r="21" spans="1:13" x14ac:dyDescent="0.25">
      <c r="A21" t="s">
        <v>13</v>
      </c>
      <c r="E21" s="5"/>
      <c r="F21" s="5">
        <f>(F14*F16)/1000</f>
        <v>4625.9474800000007</v>
      </c>
      <c r="M21" s="5">
        <f>(M14*M16)/1000</f>
        <v>5114.1047299999991</v>
      </c>
    </row>
    <row r="22" spans="1:13" x14ac:dyDescent="0.25">
      <c r="A22" t="s">
        <v>11</v>
      </c>
      <c r="E22" s="11"/>
      <c r="F22" s="9">
        <f>-F21*F17</f>
        <v>-1214.7090449832801</v>
      </c>
      <c r="M22" s="9">
        <f>-M21*M17</f>
        <v>-1429.9803940789498</v>
      </c>
    </row>
    <row r="23" spans="1:13" x14ac:dyDescent="0.25">
      <c r="A23" t="s">
        <v>14</v>
      </c>
      <c r="E23" s="5"/>
      <c r="F23" s="5">
        <f>F21+F22</f>
        <v>3411.2384350167204</v>
      </c>
      <c r="M23" s="5">
        <f>M21+M22</f>
        <v>3684.1243359210494</v>
      </c>
    </row>
    <row r="24" spans="1:13" x14ac:dyDescent="0.25">
      <c r="A24" t="s">
        <v>15</v>
      </c>
      <c r="E24" s="5"/>
      <c r="F24" s="5">
        <f>-126.99-126.99</f>
        <v>-253.98</v>
      </c>
      <c r="M24" s="5">
        <f>-277.58</f>
        <v>-277.58</v>
      </c>
    </row>
    <row r="25" spans="1:13" x14ac:dyDescent="0.25">
      <c r="A25" t="s">
        <v>16</v>
      </c>
      <c r="E25" s="5"/>
      <c r="F25" s="5">
        <f>0</f>
        <v>0</v>
      </c>
      <c r="M25" s="5">
        <f>0</f>
        <v>0</v>
      </c>
    </row>
    <row r="26" spans="1:13" x14ac:dyDescent="0.25">
      <c r="A26" t="s">
        <v>17</v>
      </c>
      <c r="E26" s="11"/>
      <c r="F26" s="9">
        <f>0</f>
        <v>0</v>
      </c>
      <c r="M26" s="9">
        <f>0</f>
        <v>0</v>
      </c>
    </row>
    <row r="27" spans="1:13" x14ac:dyDescent="0.25">
      <c r="A27" t="s">
        <v>18</v>
      </c>
      <c r="E27" s="5"/>
      <c r="F27" s="5">
        <f>F23+SUM(F24:F26)</f>
        <v>3157.2584350167203</v>
      </c>
      <c r="M27" s="5">
        <f>M23+SUM(M24:M26)</f>
        <v>3406.5443359210494</v>
      </c>
    </row>
    <row r="30" spans="1:13" x14ac:dyDescent="0.25">
      <c r="A30" t="s">
        <v>19</v>
      </c>
      <c r="D30" t="s">
        <v>39</v>
      </c>
      <c r="H30" t="s">
        <v>19</v>
      </c>
      <c r="K30" t="s">
        <v>40</v>
      </c>
    </row>
    <row r="32" spans="1:13" x14ac:dyDescent="0.25">
      <c r="A32" t="s">
        <v>20</v>
      </c>
      <c r="H32" t="s">
        <v>20</v>
      </c>
    </row>
    <row r="33" spans="1:17" x14ac:dyDescent="0.25">
      <c r="D33" s="4" t="s">
        <v>22</v>
      </c>
      <c r="E33" s="4" t="s">
        <v>23</v>
      </c>
      <c r="F33" s="4" t="s">
        <v>24</v>
      </c>
      <c r="K33" s="4" t="s">
        <v>22</v>
      </c>
      <c r="L33" s="4" t="s">
        <v>23</v>
      </c>
      <c r="M33" s="4" t="s">
        <v>24</v>
      </c>
    </row>
    <row r="34" spans="1:17" x14ac:dyDescent="0.25">
      <c r="A34" t="s">
        <v>21</v>
      </c>
      <c r="D34" s="12">
        <v>2</v>
      </c>
      <c r="E34" s="12">
        <v>2</v>
      </c>
      <c r="F34" s="5">
        <f>($F$14*E34)/1000</f>
        <v>153.482</v>
      </c>
      <c r="H34" t="s">
        <v>21</v>
      </c>
      <c r="K34" s="12">
        <v>2</v>
      </c>
      <c r="L34" s="12">
        <v>2</v>
      </c>
      <c r="M34" s="5">
        <f>($M$14*L34)/1000</f>
        <v>170.52699999999999</v>
      </c>
      <c r="O34" s="6">
        <f t="shared" ref="O34:O38" si="0">(M34-F34)/F34</f>
        <v>0.11105536805618892</v>
      </c>
      <c r="Q34" s="5">
        <f>M34-F34</f>
        <v>17.044999999999987</v>
      </c>
    </row>
    <row r="35" spans="1:17" x14ac:dyDescent="0.25">
      <c r="A35" t="s">
        <v>51</v>
      </c>
      <c r="D35" s="12">
        <f>3.7</f>
        <v>3.7</v>
      </c>
      <c r="E35" s="12">
        <f>3.7</f>
        <v>3.7</v>
      </c>
      <c r="F35" s="5">
        <f>($F$14*E35)/1000</f>
        <v>283.94170000000003</v>
      </c>
      <c r="H35" t="s">
        <v>51</v>
      </c>
      <c r="K35" s="12">
        <f>3.7</f>
        <v>3.7</v>
      </c>
      <c r="L35" s="12">
        <f>3.7</f>
        <v>3.7</v>
      </c>
      <c r="M35" s="5">
        <f t="shared" ref="M35:M38" si="1">($M$14*L35)/1000</f>
        <v>315.47495000000004</v>
      </c>
      <c r="O35" s="6">
        <f t="shared" si="0"/>
        <v>0.11105536805618903</v>
      </c>
      <c r="Q35" s="5">
        <f t="shared" ref="Q35:Q38" si="2">M35-F35</f>
        <v>31.53325000000001</v>
      </c>
    </row>
    <row r="36" spans="1:17" x14ac:dyDescent="0.25">
      <c r="A36" t="s">
        <v>52</v>
      </c>
      <c r="D36" s="12">
        <f>0.3</f>
        <v>0.3</v>
      </c>
      <c r="E36" s="12">
        <f>0.3</f>
        <v>0.3</v>
      </c>
      <c r="F36" s="5">
        <f>($F$14*E36)/1000</f>
        <v>23.022299999999998</v>
      </c>
      <c r="H36" t="s">
        <v>52</v>
      </c>
      <c r="K36" s="12">
        <f>0.3</f>
        <v>0.3</v>
      </c>
      <c r="L36" s="12">
        <f>0.3</f>
        <v>0.3</v>
      </c>
      <c r="M36" s="5">
        <f t="shared" ref="M36:M37" si="3">($M$14*L36)/1000</f>
        <v>25.579049999999999</v>
      </c>
      <c r="O36" s="6">
        <f t="shared" ref="O36:O37" si="4">(M36-F36)/F36</f>
        <v>0.11105536805618905</v>
      </c>
      <c r="Q36" s="5">
        <f t="shared" ref="Q36:Q37" si="5">M36-F36</f>
        <v>2.556750000000001</v>
      </c>
    </row>
    <row r="37" spans="1:17" x14ac:dyDescent="0.25">
      <c r="A37" t="s">
        <v>64</v>
      </c>
      <c r="D37" s="12">
        <f>3</f>
        <v>3</v>
      </c>
      <c r="E37" s="12">
        <f>3</f>
        <v>3</v>
      </c>
      <c r="F37" s="5">
        <f>($F$14*E37)/1000</f>
        <v>230.22300000000001</v>
      </c>
      <c r="H37" t="s">
        <v>64</v>
      </c>
      <c r="K37" s="12">
        <f>3</f>
        <v>3</v>
      </c>
      <c r="L37" s="12">
        <f>3</f>
        <v>3</v>
      </c>
      <c r="M37" s="5">
        <f t="shared" si="3"/>
        <v>255.79050000000001</v>
      </c>
      <c r="O37" s="6">
        <f t="shared" si="4"/>
        <v>0.11105536805618897</v>
      </c>
      <c r="Q37" s="5">
        <f t="shared" si="5"/>
        <v>25.567499999999995</v>
      </c>
    </row>
    <row r="38" spans="1:17" x14ac:dyDescent="0.25">
      <c r="A38" t="s">
        <v>65</v>
      </c>
      <c r="D38" s="12">
        <f>1</f>
        <v>1</v>
      </c>
      <c r="E38" s="12">
        <f>1</f>
        <v>1</v>
      </c>
      <c r="F38" s="5">
        <f>($F$14*E38)/1000</f>
        <v>76.741</v>
      </c>
      <c r="H38" t="s">
        <v>65</v>
      </c>
      <c r="K38" s="12">
        <f>1</f>
        <v>1</v>
      </c>
      <c r="L38" s="12">
        <f>1</f>
        <v>1</v>
      </c>
      <c r="M38" s="5">
        <f t="shared" si="1"/>
        <v>85.263499999999993</v>
      </c>
      <c r="O38" s="6">
        <f t="shared" si="0"/>
        <v>0.11105536805618892</v>
      </c>
      <c r="Q38" s="5">
        <f t="shared" si="2"/>
        <v>8.5224999999999937</v>
      </c>
    </row>
    <row r="39" spans="1:17" x14ac:dyDescent="0.25">
      <c r="D39" s="12"/>
      <c r="E39" s="12"/>
      <c r="F39" s="5"/>
      <c r="K39" s="12"/>
      <c r="L39" s="12"/>
      <c r="M39" s="5"/>
      <c r="Q39" s="5"/>
    </row>
    <row r="40" spans="1:17" x14ac:dyDescent="0.25">
      <c r="A40" t="s">
        <v>25</v>
      </c>
      <c r="D40" s="12">
        <f>SUM(D34:D38)</f>
        <v>10</v>
      </c>
      <c r="E40" s="12">
        <f>SUM(E34:E38)</f>
        <v>10</v>
      </c>
      <c r="F40" s="5">
        <f>SUM(F34:F38)</f>
        <v>767.41000000000008</v>
      </c>
      <c r="H40" t="s">
        <v>25</v>
      </c>
      <c r="K40" s="12">
        <f>SUM(K34:K38)</f>
        <v>10</v>
      </c>
      <c r="L40" s="12">
        <f>SUM(L34:L38)</f>
        <v>10</v>
      </c>
      <c r="M40" s="5">
        <f>SUM(M34:M38)</f>
        <v>852.63499999999999</v>
      </c>
      <c r="O40" s="6">
        <f>(M40-F40)/F40</f>
        <v>0.11105536805618887</v>
      </c>
      <c r="Q40" s="5"/>
    </row>
    <row r="41" spans="1:17" x14ac:dyDescent="0.25">
      <c r="D41" s="12"/>
      <c r="E41" s="12"/>
      <c r="F41" s="5"/>
      <c r="K41" s="12"/>
      <c r="L41" s="12"/>
      <c r="M41" s="5"/>
    </row>
    <row r="42" spans="1:17" x14ac:dyDescent="0.25">
      <c r="D42" s="12"/>
      <c r="E42" s="12"/>
      <c r="F42" s="5"/>
      <c r="K42" s="12"/>
      <c r="L42" s="12"/>
      <c r="M42" s="5"/>
    </row>
    <row r="43" spans="1:17" x14ac:dyDescent="0.25">
      <c r="A43" t="s">
        <v>26</v>
      </c>
      <c r="D43" s="12"/>
      <c r="E43" s="12"/>
      <c r="F43" s="5"/>
      <c r="H43" t="s">
        <v>26</v>
      </c>
      <c r="K43" s="12"/>
      <c r="L43" s="12"/>
      <c r="M43" s="5"/>
    </row>
    <row r="44" spans="1:17" x14ac:dyDescent="0.25">
      <c r="D44" s="4" t="s">
        <v>22</v>
      </c>
      <c r="E44" s="4" t="s">
        <v>23</v>
      </c>
      <c r="F44" s="4" t="s">
        <v>24</v>
      </c>
      <c r="K44" s="4" t="s">
        <v>22</v>
      </c>
      <c r="L44" s="4" t="s">
        <v>23</v>
      </c>
      <c r="M44" s="4" t="s">
        <v>24</v>
      </c>
    </row>
    <row r="45" spans="1:17" x14ac:dyDescent="0.25">
      <c r="A45" t="s">
        <v>27</v>
      </c>
      <c r="D45" s="12">
        <f>2.2</f>
        <v>2.2000000000000002</v>
      </c>
      <c r="E45" s="12">
        <f>1.2034</f>
        <v>1.2034</v>
      </c>
      <c r="F45" s="5">
        <f t="shared" ref="F45:F65" si="6">($F$14*E45)/1000</f>
        <v>92.350119399999997</v>
      </c>
      <c r="H45" t="s">
        <v>27</v>
      </c>
      <c r="K45" s="12">
        <f>2.2</f>
        <v>2.2000000000000002</v>
      </c>
      <c r="L45" s="12">
        <f>1.046729</f>
        <v>1.046729</v>
      </c>
      <c r="M45" s="5">
        <f t="shared" ref="M45:M56" si="7">($M$14*L45)/1000</f>
        <v>89.24777809150001</v>
      </c>
      <c r="O45" s="6">
        <f t="shared" ref="O45:O65" si="8">(M45-F45)/F45</f>
        <v>-3.3593257146346339E-2</v>
      </c>
      <c r="Q45" s="5">
        <f t="shared" ref="Q45:Q65" si="9">M45-F45</f>
        <v>-3.1023413084999873</v>
      </c>
    </row>
    <row r="46" spans="1:17" x14ac:dyDescent="0.25">
      <c r="A46" t="s">
        <v>28</v>
      </c>
      <c r="D46" s="12">
        <f>1.4</f>
        <v>1.4</v>
      </c>
      <c r="E46" s="12">
        <f>0.899309</f>
        <v>0.89930900000000003</v>
      </c>
      <c r="F46" s="5">
        <f t="shared" si="6"/>
        <v>69.013871968999993</v>
      </c>
      <c r="H46" t="s">
        <v>28</v>
      </c>
      <c r="K46" s="12">
        <f>1.4</f>
        <v>1.4</v>
      </c>
      <c r="L46" s="12">
        <f>0.782227</f>
        <v>0.78222700000000001</v>
      </c>
      <c r="M46" s="5">
        <f t="shared" si="7"/>
        <v>66.695411814499991</v>
      </c>
      <c r="O46" s="6">
        <f t="shared" si="8"/>
        <v>-3.3594117941120882E-2</v>
      </c>
      <c r="Q46" s="5">
        <f t="shared" si="9"/>
        <v>-2.3184601545000021</v>
      </c>
    </row>
    <row r="47" spans="1:17" x14ac:dyDescent="0.25">
      <c r="A47" t="s">
        <v>29</v>
      </c>
      <c r="D47" s="12">
        <f>0.3</f>
        <v>0.3</v>
      </c>
      <c r="E47" s="12">
        <f>0.223762</f>
        <v>0.22376199999999999</v>
      </c>
      <c r="F47" s="5">
        <f t="shared" si="6"/>
        <v>17.171719641999999</v>
      </c>
      <c r="H47" t="s">
        <v>29</v>
      </c>
      <c r="K47" s="12">
        <f>0.3</f>
        <v>0.3</v>
      </c>
      <c r="L47" s="12">
        <f>0.19463</f>
        <v>0.19463</v>
      </c>
      <c r="M47" s="5">
        <f t="shared" si="7"/>
        <v>16.594835005</v>
      </c>
      <c r="O47" s="6">
        <f t="shared" si="8"/>
        <v>-3.3595041674743364E-2</v>
      </c>
      <c r="Q47" s="5">
        <f t="shared" si="9"/>
        <v>-0.57688463699999915</v>
      </c>
    </row>
    <row r="48" spans="1:17" x14ac:dyDescent="0.25">
      <c r="A48" t="s">
        <v>30</v>
      </c>
      <c r="D48" s="12">
        <f>0.5</f>
        <v>0.5</v>
      </c>
      <c r="E48" s="12">
        <f>0.432042</f>
        <v>0.43204199999999998</v>
      </c>
      <c r="F48" s="5">
        <f t="shared" si="6"/>
        <v>33.155335121999997</v>
      </c>
      <c r="H48" t="s">
        <v>30</v>
      </c>
      <c r="K48" s="12">
        <f>0.5</f>
        <v>0.5</v>
      </c>
      <c r="L48" s="12">
        <f>0.375794</f>
        <v>0.37579400000000002</v>
      </c>
      <c r="M48" s="5">
        <f t="shared" si="7"/>
        <v>32.041511718999999</v>
      </c>
      <c r="O48" s="6">
        <f t="shared" si="8"/>
        <v>-3.3594092742586332E-2</v>
      </c>
      <c r="Q48" s="5">
        <f t="shared" si="9"/>
        <v>-1.1138234029999978</v>
      </c>
    </row>
    <row r="49" spans="1:17" x14ac:dyDescent="0.25">
      <c r="A49" t="s">
        <v>31</v>
      </c>
      <c r="D49" s="12">
        <v>0.2</v>
      </c>
      <c r="E49" s="12">
        <f>0.17325</f>
        <v>0.17324999999999999</v>
      </c>
      <c r="F49" s="5">
        <f t="shared" si="6"/>
        <v>13.295378250000001</v>
      </c>
      <c r="H49" t="s">
        <v>31</v>
      </c>
      <c r="K49" s="12">
        <v>0.2</v>
      </c>
      <c r="L49" s="12">
        <f>0.150694</f>
        <v>0.15069399999999999</v>
      </c>
      <c r="M49" s="5">
        <f t="shared" si="7"/>
        <v>12.848697869</v>
      </c>
      <c r="O49" s="6">
        <f t="shared" si="8"/>
        <v>-3.3596665894029765E-2</v>
      </c>
      <c r="Q49" s="5">
        <f t="shared" si="9"/>
        <v>-0.44668038100000018</v>
      </c>
    </row>
    <row r="50" spans="1:17" x14ac:dyDescent="0.25">
      <c r="A50" t="s">
        <v>32</v>
      </c>
      <c r="D50" s="12">
        <f>0.6</f>
        <v>0.6</v>
      </c>
      <c r="E50" s="12">
        <f>0.59484</f>
        <v>0.59484000000000004</v>
      </c>
      <c r="F50" s="5">
        <f t="shared" si="6"/>
        <v>45.648616440000005</v>
      </c>
      <c r="H50" t="s">
        <v>32</v>
      </c>
      <c r="K50" s="12">
        <f>0.6</f>
        <v>0.6</v>
      </c>
      <c r="L50" s="12">
        <f>0.517397</f>
        <v>0.517397</v>
      </c>
      <c r="M50" s="5">
        <f t="shared" si="7"/>
        <v>44.115079109500002</v>
      </c>
      <c r="O50" s="6">
        <f t="shared" si="8"/>
        <v>-3.3594387959505111E-2</v>
      </c>
      <c r="Q50" s="5">
        <f t="shared" si="9"/>
        <v>-1.5335373305000033</v>
      </c>
    </row>
    <row r="51" spans="1:17" x14ac:dyDescent="0.25">
      <c r="A51" t="s">
        <v>53</v>
      </c>
      <c r="D51" s="12">
        <f>20.7</f>
        <v>20.7</v>
      </c>
      <c r="E51" s="12">
        <f>11.02927</f>
        <v>11.02927</v>
      </c>
      <c r="F51" s="5">
        <f t="shared" si="6"/>
        <v>846.39720907000003</v>
      </c>
      <c r="H51" t="s">
        <v>53</v>
      </c>
      <c r="K51" s="12">
        <f>20.7</f>
        <v>20.7</v>
      </c>
      <c r="L51" s="12">
        <f>11.142023</f>
        <v>11.142023</v>
      </c>
      <c r="M51" s="5">
        <f t="shared" si="7"/>
        <v>950.00787806050005</v>
      </c>
      <c r="O51" s="6">
        <f t="shared" si="8"/>
        <v>0.12241376493235938</v>
      </c>
      <c r="Q51" s="5">
        <f t="shared" si="9"/>
        <v>103.61066899050002</v>
      </c>
    </row>
    <row r="52" spans="1:17" x14ac:dyDescent="0.25">
      <c r="A52" t="s">
        <v>54</v>
      </c>
      <c r="D52" s="12">
        <f>1.2</f>
        <v>1.2</v>
      </c>
      <c r="E52" s="12">
        <f>0.335697</f>
        <v>0.33569700000000002</v>
      </c>
      <c r="F52" s="5">
        <f t="shared" si="6"/>
        <v>25.761723477000004</v>
      </c>
      <c r="H52" t="s">
        <v>54</v>
      </c>
      <c r="K52" s="12">
        <f>1.2</f>
        <v>1.2</v>
      </c>
      <c r="L52" s="12">
        <f>0.306716</f>
        <v>0.30671599999999999</v>
      </c>
      <c r="M52" s="5">
        <f t="shared" si="7"/>
        <v>26.151679666</v>
      </c>
      <c r="O52" s="6">
        <f t="shared" si="8"/>
        <v>1.5137038069217212E-2</v>
      </c>
      <c r="Q52" s="5">
        <f t="shared" si="9"/>
        <v>0.38995618899999585</v>
      </c>
    </row>
    <row r="53" spans="1:17" x14ac:dyDescent="0.25">
      <c r="A53" t="s">
        <v>55</v>
      </c>
      <c r="D53" s="12">
        <f>4.33</f>
        <v>4.33</v>
      </c>
      <c r="E53" s="12">
        <f>2.52998</f>
        <v>2.5299800000000001</v>
      </c>
      <c r="F53" s="5">
        <f t="shared" si="6"/>
        <v>194.15319518000001</v>
      </c>
      <c r="H53" t="s">
        <v>55</v>
      </c>
      <c r="K53" s="12">
        <f>4.33</f>
        <v>4.33</v>
      </c>
      <c r="L53" s="12">
        <f>2.513907</f>
        <v>2.5139070000000001</v>
      </c>
      <c r="M53" s="5">
        <f t="shared" si="7"/>
        <v>214.34450949449999</v>
      </c>
      <c r="O53" s="6">
        <f t="shared" si="8"/>
        <v>0.10399681702781428</v>
      </c>
      <c r="Q53" s="5">
        <f t="shared" si="9"/>
        <v>20.191314314499976</v>
      </c>
    </row>
    <row r="54" spans="1:17" x14ac:dyDescent="0.25">
      <c r="A54" t="s">
        <v>56</v>
      </c>
      <c r="D54" s="12">
        <f>3.9</f>
        <v>3.9</v>
      </c>
      <c r="E54" s="12">
        <f>2.740764</f>
        <v>2.740764</v>
      </c>
      <c r="F54" s="5">
        <f t="shared" si="6"/>
        <v>210.32897012399999</v>
      </c>
      <c r="H54" t="s">
        <v>56</v>
      </c>
      <c r="K54" s="12">
        <f>3.9</f>
        <v>3.9</v>
      </c>
      <c r="L54" s="12">
        <f>2.644079</f>
        <v>2.6440790000000001</v>
      </c>
      <c r="M54" s="5">
        <f t="shared" si="7"/>
        <v>225.44342981649999</v>
      </c>
      <c r="O54" s="6">
        <f t="shared" si="8"/>
        <v>7.1861045502144671E-2</v>
      </c>
      <c r="Q54" s="5">
        <f t="shared" si="9"/>
        <v>15.114459692499992</v>
      </c>
    </row>
    <row r="55" spans="1:17" x14ac:dyDescent="0.25">
      <c r="A55" t="s">
        <v>57</v>
      </c>
      <c r="D55" s="12">
        <f>3.65</f>
        <v>3.65</v>
      </c>
      <c r="E55" s="12">
        <f>3.65</f>
        <v>3.65</v>
      </c>
      <c r="F55" s="5">
        <f t="shared" ref="F55" si="10">($F$14*E55)/1000</f>
        <v>280.10464999999999</v>
      </c>
      <c r="H55" t="s">
        <v>57</v>
      </c>
      <c r="K55" s="12">
        <f>3.5</f>
        <v>3.5</v>
      </c>
      <c r="L55" s="12">
        <f>3.5</f>
        <v>3.5</v>
      </c>
      <c r="M55" s="5">
        <f t="shared" ref="M55" si="11">($M$14*L55)/1000</f>
        <v>298.42225000000002</v>
      </c>
      <c r="O55" s="6">
        <f t="shared" ref="O55" si="12">(M55-F55)/F55</f>
        <v>6.5395558410044338E-2</v>
      </c>
      <c r="Q55" s="5">
        <f t="shared" ref="Q55" si="13">M55-F55</f>
        <v>18.317600000000027</v>
      </c>
    </row>
    <row r="56" spans="1:17" x14ac:dyDescent="0.25">
      <c r="A56" t="s">
        <v>58</v>
      </c>
      <c r="D56" s="12">
        <f>3.9</f>
        <v>3.9</v>
      </c>
      <c r="E56" s="12">
        <f>3.9</f>
        <v>3.9</v>
      </c>
      <c r="F56" s="5">
        <f t="shared" si="6"/>
        <v>299.28989999999999</v>
      </c>
      <c r="H56" t="s">
        <v>58</v>
      </c>
      <c r="K56" s="12">
        <f>3.75</f>
        <v>3.75</v>
      </c>
      <c r="L56" s="12">
        <f>3.75</f>
        <v>3.75</v>
      </c>
      <c r="M56" s="5">
        <f t="shared" si="7"/>
        <v>319.73812500000003</v>
      </c>
      <c r="O56" s="6">
        <f t="shared" si="8"/>
        <v>6.8322469284797238E-2</v>
      </c>
      <c r="Q56" s="5">
        <f t="shared" si="9"/>
        <v>20.448225000000036</v>
      </c>
    </row>
    <row r="57" spans="1:17" x14ac:dyDescent="0.25">
      <c r="A57" s="18" t="s">
        <v>59</v>
      </c>
      <c r="B57" s="18"/>
      <c r="C57" s="18"/>
      <c r="D57" s="19">
        <f>0.6</f>
        <v>0.6</v>
      </c>
      <c r="E57" s="19">
        <f>0.545454</f>
        <v>0.54545399999999999</v>
      </c>
      <c r="F57" s="20">
        <f t="shared" si="6"/>
        <v>41.858685414</v>
      </c>
      <c r="G57" s="18"/>
      <c r="H57" s="18" t="s">
        <v>59</v>
      </c>
      <c r="I57" s="18"/>
      <c r="J57" s="18"/>
      <c r="K57" s="19">
        <f>0.6</f>
        <v>0.6</v>
      </c>
      <c r="L57" s="19">
        <f>0.545454</f>
        <v>0.54545399999999999</v>
      </c>
      <c r="M57" s="20">
        <f>($M$14*L57)/1000</f>
        <v>46.507317129</v>
      </c>
      <c r="N57" s="18"/>
      <c r="O57" s="21">
        <f t="shared" si="8"/>
        <v>0.11105536805618901</v>
      </c>
      <c r="Q57" s="5">
        <f t="shared" si="9"/>
        <v>4.6486317150000005</v>
      </c>
    </row>
    <row r="58" spans="1:17" x14ac:dyDescent="0.25">
      <c r="A58" s="18" t="s">
        <v>59</v>
      </c>
      <c r="B58" s="18"/>
      <c r="C58" s="18"/>
      <c r="D58" s="19">
        <f>0.8</f>
        <v>0.8</v>
      </c>
      <c r="E58" s="19">
        <f>0.727272</f>
        <v>0.72727200000000003</v>
      </c>
      <c r="F58" s="20">
        <f t="shared" ref="F58:F60" si="14">($F$14*E58)/1000</f>
        <v>55.811580552000002</v>
      </c>
      <c r="G58" s="18"/>
      <c r="H58" s="18" t="s">
        <v>59</v>
      </c>
      <c r="I58" s="18"/>
      <c r="J58" s="18"/>
      <c r="K58" s="19">
        <f>0.8</f>
        <v>0.8</v>
      </c>
      <c r="L58" s="19">
        <f>0.727272</f>
        <v>0.72727200000000003</v>
      </c>
      <c r="M58" s="20">
        <f t="shared" ref="M58:M60" si="15">($M$14*L58)/1000</f>
        <v>62.009756172000003</v>
      </c>
      <c r="N58" s="18"/>
      <c r="O58" s="21">
        <f t="shared" ref="O58:O60" si="16">(M58-F58)/F58</f>
        <v>0.11105536805618901</v>
      </c>
      <c r="Q58" s="5">
        <f t="shared" ref="Q58:Q60" si="17">M58-F58</f>
        <v>6.1981756200000007</v>
      </c>
    </row>
    <row r="59" spans="1:17" x14ac:dyDescent="0.25">
      <c r="A59" s="18" t="s">
        <v>60</v>
      </c>
      <c r="B59" s="18"/>
      <c r="C59" s="18"/>
      <c r="D59" s="19">
        <f>0.8</f>
        <v>0.8</v>
      </c>
      <c r="E59" s="19">
        <f>0.727272</f>
        <v>0.72727200000000003</v>
      </c>
      <c r="F59" s="20">
        <f t="shared" si="14"/>
        <v>55.811580552000002</v>
      </c>
      <c r="G59" s="18"/>
      <c r="H59" s="18" t="s">
        <v>60</v>
      </c>
      <c r="I59" s="18"/>
      <c r="J59" s="18"/>
      <c r="K59" s="19">
        <f>0.8</f>
        <v>0.8</v>
      </c>
      <c r="L59" s="19">
        <f>0.727272</f>
        <v>0.72727200000000003</v>
      </c>
      <c r="M59" s="20">
        <f t="shared" si="15"/>
        <v>62.009756172000003</v>
      </c>
      <c r="N59" s="18"/>
      <c r="O59" s="21">
        <f t="shared" si="16"/>
        <v>0.11105536805618901</v>
      </c>
      <c r="Q59" s="5">
        <f t="shared" si="17"/>
        <v>6.1981756200000007</v>
      </c>
    </row>
    <row r="60" spans="1:17" x14ac:dyDescent="0.25">
      <c r="A60" s="18" t="s">
        <v>61</v>
      </c>
      <c r="B60" s="18"/>
      <c r="C60" s="18"/>
      <c r="D60" s="19">
        <f>1</f>
        <v>1</v>
      </c>
      <c r="E60" s="19">
        <f>0.796351</f>
        <v>0.79635100000000003</v>
      </c>
      <c r="F60" s="20">
        <f t="shared" si="14"/>
        <v>61.112772090999997</v>
      </c>
      <c r="H60" s="18" t="s">
        <v>61</v>
      </c>
      <c r="I60" s="18"/>
      <c r="J60" s="18"/>
      <c r="K60" s="19">
        <f>1</f>
        <v>1</v>
      </c>
      <c r="L60" s="19">
        <f>0.749804</f>
        <v>0.74980400000000003</v>
      </c>
      <c r="M60" s="20">
        <f t="shared" si="15"/>
        <v>63.930913354000005</v>
      </c>
      <c r="O60" s="6">
        <f t="shared" si="16"/>
        <v>4.6113785491577013E-2</v>
      </c>
      <c r="Q60" s="5">
        <f t="shared" si="17"/>
        <v>2.8181412630000082</v>
      </c>
    </row>
    <row r="61" spans="1:17" x14ac:dyDescent="0.25">
      <c r="A61" t="s">
        <v>66</v>
      </c>
      <c r="D61" s="12">
        <f>2</f>
        <v>2</v>
      </c>
      <c r="E61" s="12">
        <f>1.99447</f>
        <v>1.99447</v>
      </c>
      <c r="F61" s="5">
        <f t="shared" ref="F61" si="18">($F$14*E61)/1000</f>
        <v>153.05762227</v>
      </c>
      <c r="H61" t="s">
        <v>66</v>
      </c>
      <c r="K61" s="12">
        <f>2</f>
        <v>2</v>
      </c>
      <c r="L61" s="12">
        <f>1.785584</f>
        <v>1.7855840000000001</v>
      </c>
      <c r="M61" s="5">
        <f t="shared" ref="M61" si="19">($M$14*L61)/1000</f>
        <v>152.24514138400002</v>
      </c>
      <c r="O61" s="6">
        <f t="shared" ref="O61" si="20">(M61-F61)/F61</f>
        <v>-5.30833338418602E-3</v>
      </c>
      <c r="Q61" s="5">
        <f t="shared" ref="Q61" si="21">M61-F61</f>
        <v>-0.81248088599997459</v>
      </c>
    </row>
    <row r="62" spans="1:17" x14ac:dyDescent="0.25">
      <c r="A62" t="s">
        <v>33</v>
      </c>
      <c r="D62" s="12">
        <f>0.7</f>
        <v>0.7</v>
      </c>
      <c r="E62" s="12">
        <f>0.6337</f>
        <v>0.63370000000000004</v>
      </c>
      <c r="F62" s="5">
        <f t="shared" si="6"/>
        <v>48.630771700000004</v>
      </c>
      <c r="H62" t="s">
        <v>33</v>
      </c>
      <c r="K62" s="12">
        <f>0.7</f>
        <v>0.7</v>
      </c>
      <c r="L62" s="12">
        <f>0.560989</f>
        <v>0.56098899999999996</v>
      </c>
      <c r="M62" s="5">
        <f t="shared" ref="M62:M65" si="22">($M$14*L62)/1000</f>
        <v>47.831885601499998</v>
      </c>
      <c r="O62" s="6">
        <f t="shared" si="8"/>
        <v>-1.6427584234695702E-2</v>
      </c>
      <c r="Q62" s="5">
        <f t="shared" si="9"/>
        <v>-0.79888609850000591</v>
      </c>
    </row>
    <row r="63" spans="1:17" x14ac:dyDescent="0.25">
      <c r="A63" t="s">
        <v>34</v>
      </c>
      <c r="D63" s="12">
        <f>0.3</f>
        <v>0.3</v>
      </c>
      <c r="E63" s="12">
        <f>0.271586</f>
        <v>0.27158599999999999</v>
      </c>
      <c r="F63" s="5">
        <f t="shared" si="6"/>
        <v>20.841781225999998</v>
      </c>
      <c r="H63" t="s">
        <v>34</v>
      </c>
      <c r="K63" s="12">
        <f>0.3</f>
        <v>0.3</v>
      </c>
      <c r="L63" s="12">
        <f>0.240423</f>
        <v>0.240423</v>
      </c>
      <c r="M63" s="5">
        <f t="shared" si="22"/>
        <v>20.499306460500001</v>
      </c>
      <c r="O63" s="6">
        <f t="shared" si="8"/>
        <v>-1.6432125536024803E-2</v>
      </c>
      <c r="Q63" s="5">
        <f t="shared" si="9"/>
        <v>-0.34247476549999689</v>
      </c>
    </row>
    <row r="64" spans="1:17" x14ac:dyDescent="0.25">
      <c r="A64" t="s">
        <v>48</v>
      </c>
      <c r="D64" s="12">
        <f>0.2</f>
        <v>0.2</v>
      </c>
      <c r="E64" s="12">
        <f>0.181099</f>
        <v>0.18109900000000001</v>
      </c>
      <c r="F64" s="5">
        <f t="shared" si="6"/>
        <v>13.897718359000001</v>
      </c>
      <c r="H64" t="s">
        <v>48</v>
      </c>
      <c r="K64" s="12">
        <f>0.2</f>
        <v>0.2</v>
      </c>
      <c r="L64" s="12">
        <f>0.16032</f>
        <v>0.16031999999999999</v>
      </c>
      <c r="M64" s="5">
        <f t="shared" si="22"/>
        <v>13.669444319999998</v>
      </c>
      <c r="O64" s="6">
        <f t="shared" si="8"/>
        <v>-1.642528889299117E-2</v>
      </c>
      <c r="Q64" s="5">
        <f t="shared" si="9"/>
        <v>-0.2282740390000022</v>
      </c>
    </row>
    <row r="65" spans="1:17" x14ac:dyDescent="0.25">
      <c r="A65" t="s">
        <v>62</v>
      </c>
      <c r="D65" s="12">
        <f>1</f>
        <v>1</v>
      </c>
      <c r="E65" s="12">
        <f>0.861811</f>
        <v>0.86181099999999999</v>
      </c>
      <c r="F65" s="5">
        <f t="shared" si="6"/>
        <v>66.136237950999998</v>
      </c>
      <c r="H65" t="s">
        <v>62</v>
      </c>
      <c r="K65" s="12">
        <f>1</f>
        <v>1</v>
      </c>
      <c r="L65" s="12">
        <f>0.787409</f>
        <v>0.78740900000000003</v>
      </c>
      <c r="M65" s="5">
        <f t="shared" si="22"/>
        <v>67.137247271500001</v>
      </c>
      <c r="O65" s="6">
        <f t="shared" si="8"/>
        <v>1.5135564881111712E-2</v>
      </c>
      <c r="Q65" s="5">
        <f t="shared" si="9"/>
        <v>1.0010093205000032</v>
      </c>
    </row>
    <row r="66" spans="1:17" x14ac:dyDescent="0.25">
      <c r="D66" s="12"/>
      <c r="E66" s="12"/>
      <c r="F66" s="5"/>
      <c r="K66" s="12"/>
      <c r="L66" s="12"/>
      <c r="M66" s="5"/>
    </row>
    <row r="67" spans="1:17" x14ac:dyDescent="0.25">
      <c r="A67" t="s">
        <v>35</v>
      </c>
      <c r="D67" s="12">
        <f>SUM(D45:D65)</f>
        <v>50.279999999999994</v>
      </c>
      <c r="E67" s="12">
        <f>SUM(E45:E65)</f>
        <v>34.451329000000001</v>
      </c>
      <c r="F67" s="5">
        <f>SUM(F45:F65)</f>
        <v>2643.8294387890005</v>
      </c>
      <c r="H67" t="s">
        <v>35</v>
      </c>
      <c r="K67" s="12">
        <f>SUM(K45:K65)</f>
        <v>49.98</v>
      </c>
      <c r="L67" s="12">
        <f>SUM(L45:L65)</f>
        <v>33.208722999999999</v>
      </c>
      <c r="M67" s="5">
        <f>SUM(M45:M65)</f>
        <v>2831.4919535105</v>
      </c>
      <c r="O67" s="6">
        <f>(M67-F67)/F67</f>
        <v>7.0981324274631677E-2</v>
      </c>
    </row>
    <row r="68" spans="1:17" x14ac:dyDescent="0.25">
      <c r="D68" s="12"/>
      <c r="E68" s="12"/>
      <c r="F68" s="5"/>
      <c r="K68" s="12"/>
      <c r="L68" s="12"/>
      <c r="M68" s="5"/>
    </row>
    <row r="69" spans="1:17" x14ac:dyDescent="0.25">
      <c r="A69" t="s">
        <v>36</v>
      </c>
      <c r="D69" s="12">
        <f>D40+D67</f>
        <v>60.279999999999994</v>
      </c>
      <c r="E69" s="12">
        <f>E40+E67</f>
        <v>44.451329000000001</v>
      </c>
      <c r="F69" s="5">
        <f>F40+F67</f>
        <v>3411.2394387890008</v>
      </c>
      <c r="H69" t="s">
        <v>36</v>
      </c>
      <c r="K69" s="12">
        <f>K40+K67</f>
        <v>59.98</v>
      </c>
      <c r="L69" s="12">
        <f>L40+L67</f>
        <v>43.208722999999999</v>
      </c>
      <c r="M69" s="5">
        <f>M40+M67</f>
        <v>3684.1269535105002</v>
      </c>
      <c r="O69" s="6">
        <f>(M69-F69)/F69</f>
        <v>7.9996587638648795E-2</v>
      </c>
    </row>
    <row r="71" spans="1:17" x14ac:dyDescent="0.25">
      <c r="A71" t="s">
        <v>37</v>
      </c>
      <c r="F71" s="5">
        <f>-253.98</f>
        <v>-253.98</v>
      </c>
      <c r="H71" t="s">
        <v>37</v>
      </c>
      <c r="M71" s="5">
        <f>-277.58</f>
        <v>-277.58</v>
      </c>
      <c r="O71" s="6">
        <f>(M71-F71)/F71</f>
        <v>9.2920702417513171E-2</v>
      </c>
    </row>
    <row r="72" spans="1:17" x14ac:dyDescent="0.25">
      <c r="A72" t="s">
        <v>49</v>
      </c>
      <c r="F72" s="5">
        <f>0</f>
        <v>0</v>
      </c>
      <c r="H72" t="s">
        <v>49</v>
      </c>
      <c r="M72" s="5">
        <f>0</f>
        <v>0</v>
      </c>
      <c r="O72" s="6" t="e">
        <f>(M72-F72)/F72</f>
        <v>#DIV/0!</v>
      </c>
    </row>
    <row r="74" spans="1:17" x14ac:dyDescent="0.25">
      <c r="A74" t="s">
        <v>38</v>
      </c>
      <c r="F74" s="5">
        <f>F69+F71+F72</f>
        <v>3157.2594387890008</v>
      </c>
      <c r="H74" t="s">
        <v>38</v>
      </c>
      <c r="M74" s="5">
        <f>M69+M71+M72</f>
        <v>3406.5469535105003</v>
      </c>
      <c r="O74" s="6">
        <f>(M74-F74)/F74</f>
        <v>7.8956930703520611E-2</v>
      </c>
    </row>
    <row r="77" spans="1:17" x14ac:dyDescent="0.25">
      <c r="H77" s="13" t="s">
        <v>41</v>
      </c>
      <c r="I77" s="13"/>
      <c r="J77" s="13"/>
      <c r="K77" s="13"/>
      <c r="L77" s="13"/>
      <c r="M77" s="14">
        <f>M74-F74</f>
        <v>249.28751472149952</v>
      </c>
    </row>
    <row r="79" spans="1:17" x14ac:dyDescent="0.25">
      <c r="H79" t="s">
        <v>42</v>
      </c>
    </row>
    <row r="80" spans="1:17" x14ac:dyDescent="0.25">
      <c r="M80" s="4" t="s">
        <v>43</v>
      </c>
      <c r="O80" s="15" t="s">
        <v>44</v>
      </c>
    </row>
    <row r="81" spans="8:15" x14ac:dyDescent="0.25">
      <c r="H81" t="s">
        <v>45</v>
      </c>
      <c r="M81" s="5">
        <f>Q34+Q35+Q36+Q37+Q38+Q57+Q58+Q59</f>
        <v>102.26998295499999</v>
      </c>
      <c r="N81" s="6">
        <f>M81/M85</f>
        <v>0.37476974004975389</v>
      </c>
      <c r="O81" s="14">
        <f>M77*N81</f>
        <v>93.425417089825572</v>
      </c>
    </row>
    <row r="82" spans="8:15" x14ac:dyDescent="0.25">
      <c r="H82" t="s">
        <v>46</v>
      </c>
      <c r="M82" s="5">
        <f>Q45+Q46+Q47+Q48+Q49+Q50+Q52+Q55+Q56+Q60+Q61+Q62+Q63+Q64+Q65</f>
        <v>31.701088769000101</v>
      </c>
      <c r="N82" s="6">
        <f>M82/M85</f>
        <v>0.11616906988710413</v>
      </c>
      <c r="O82" s="14">
        <f>M77*N82</f>
        <v>28.959498719664378</v>
      </c>
    </row>
    <row r="83" spans="8:15" x14ac:dyDescent="0.25">
      <c r="H83" t="s">
        <v>50</v>
      </c>
      <c r="M83" s="9">
        <f>Q51+Q53+Q54</f>
        <v>138.91644299749998</v>
      </c>
      <c r="N83" s="16">
        <f>M83/M85</f>
        <v>0.50906119006314188</v>
      </c>
      <c r="O83" s="17">
        <f>M77*N83</f>
        <v>126.90259891200955</v>
      </c>
    </row>
    <row r="84" spans="8:15" x14ac:dyDescent="0.25">
      <c r="O84" s="14"/>
    </row>
    <row r="85" spans="8:15" x14ac:dyDescent="0.25">
      <c r="H85" t="s">
        <v>47</v>
      </c>
      <c r="M85" s="5">
        <f>SUM(M81:M83)</f>
        <v>272.88751472150011</v>
      </c>
      <c r="N85" s="6">
        <f>SUM(N81:N83)</f>
        <v>0.99999999999999989</v>
      </c>
      <c r="O85" s="14">
        <f>SUM(O81:O83)</f>
        <v>249.28751472149952</v>
      </c>
    </row>
  </sheetData>
  <pageMargins left="0.7" right="0.7" top="0.75" bottom="0.75" header="0.3" footer="0.3"/>
  <pageSetup scale="6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Hatmaker</dc:creator>
  <cp:lastModifiedBy>Anthony Hatmaker</cp:lastModifiedBy>
  <cp:lastPrinted>2022-01-12T20:19:59Z</cp:lastPrinted>
  <dcterms:created xsi:type="dcterms:W3CDTF">2022-01-03T14:35:36Z</dcterms:created>
  <dcterms:modified xsi:type="dcterms:W3CDTF">2022-01-21T15:41:21Z</dcterms:modified>
</cp:coreProperties>
</file>